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kevinchiang/Documents/Teaching/BSAD 295/Excel folder/"/>
    </mc:Choice>
  </mc:AlternateContent>
  <bookViews>
    <workbookView xWindow="0" yWindow="460" windowWidth="33100" windowHeight="187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1" i="1" l="1"/>
  <c r="L19" i="1"/>
  <c r="B35" i="1"/>
  <c r="F16" i="1"/>
  <c r="F12" i="1"/>
  <c r="K8" i="1"/>
  <c r="J8" i="1"/>
  <c r="I8" i="1"/>
  <c r="H8" i="1"/>
  <c r="G8" i="1"/>
  <c r="C34" i="1"/>
  <c r="B34" i="1"/>
  <c r="F10" i="1"/>
  <c r="F13" i="1"/>
  <c r="F8" i="1"/>
  <c r="K7" i="1"/>
  <c r="K10" i="1"/>
  <c r="K12" i="1"/>
  <c r="J7" i="1"/>
  <c r="J10" i="1"/>
  <c r="J12" i="1"/>
  <c r="I7" i="1"/>
  <c r="I10" i="1"/>
  <c r="I12" i="1"/>
  <c r="H7" i="1"/>
  <c r="H10" i="1"/>
  <c r="H12" i="1"/>
  <c r="G7" i="1"/>
  <c r="G10" i="1"/>
  <c r="G12" i="1"/>
  <c r="E10" i="1"/>
  <c r="E12" i="1"/>
  <c r="D10" i="1"/>
  <c r="D12" i="1"/>
  <c r="C10" i="1"/>
  <c r="C12" i="1"/>
  <c r="G13" i="1"/>
  <c r="G16" i="1"/>
  <c r="H13" i="1"/>
  <c r="H16" i="1"/>
  <c r="I13" i="1"/>
  <c r="I16" i="1"/>
  <c r="J13" i="1"/>
  <c r="J16" i="1"/>
  <c r="K13" i="1"/>
  <c r="K16" i="1"/>
  <c r="H22" i="1"/>
  <c r="I22" i="1"/>
  <c r="J22" i="1"/>
  <c r="K22" i="1"/>
  <c r="L7" i="1"/>
  <c r="L22" i="1"/>
  <c r="L30" i="1"/>
  <c r="K34" i="1"/>
  <c r="J32" i="1"/>
  <c r="J34" i="1"/>
  <c r="L32" i="1"/>
  <c r="K32" i="1"/>
  <c r="J30" i="1"/>
  <c r="K30" i="1"/>
  <c r="K31" i="1"/>
  <c r="L31" i="1"/>
  <c r="J31" i="1"/>
  <c r="G17" i="1"/>
  <c r="H17" i="1"/>
  <c r="I17" i="1"/>
  <c r="J17" i="1"/>
  <c r="K17" i="1"/>
  <c r="L24" i="1"/>
  <c r="L16" i="1"/>
  <c r="C35" i="1"/>
  <c r="L17" i="1"/>
  <c r="L23" i="1"/>
  <c r="F34" i="1"/>
  <c r="F17" i="1"/>
  <c r="F23" i="1"/>
  <c r="F24" i="1"/>
  <c r="G23" i="1"/>
  <c r="G24" i="1"/>
  <c r="H23" i="1"/>
  <c r="H24" i="1"/>
  <c r="I23" i="1"/>
  <c r="I24" i="1"/>
  <c r="J23" i="1"/>
  <c r="J24" i="1"/>
  <c r="K23" i="1"/>
  <c r="K24" i="1"/>
  <c r="G28" i="1"/>
  <c r="F28" i="1"/>
  <c r="G34" i="1"/>
  <c r="G35" i="1"/>
  <c r="F35" i="1"/>
  <c r="G29" i="1"/>
  <c r="G30" i="1"/>
  <c r="G31" i="1"/>
  <c r="G32" i="1"/>
  <c r="G33" i="1"/>
  <c r="D13" i="1"/>
  <c r="E13" i="1"/>
  <c r="C13" i="1"/>
  <c r="D11" i="1"/>
  <c r="E11" i="1"/>
  <c r="F11" i="1"/>
  <c r="G11" i="1"/>
  <c r="H11" i="1"/>
  <c r="I11" i="1"/>
  <c r="J11" i="1"/>
  <c r="K11" i="1"/>
  <c r="C11" i="1"/>
  <c r="D8" i="1"/>
  <c r="E8" i="1"/>
  <c r="C8" i="1"/>
  <c r="D6" i="1"/>
  <c r="E6" i="1"/>
  <c r="G6" i="1"/>
  <c r="H6" i="1"/>
  <c r="I6" i="1"/>
  <c r="J6" i="1"/>
  <c r="K6" i="1"/>
  <c r="F6" i="1"/>
  <c r="F31" i="1"/>
  <c r="F33" i="1"/>
</calcChain>
</file>

<file path=xl/sharedStrings.xml><?xml version="1.0" encoding="utf-8"?>
<sst xmlns="http://schemas.openxmlformats.org/spreadsheetml/2006/main" count="60" uniqueCount="55">
  <si>
    <t>T-3</t>
  </si>
  <si>
    <t>T-2</t>
  </si>
  <si>
    <t>T-1</t>
  </si>
  <si>
    <t>T (Current Year)</t>
  </si>
  <si>
    <t>Projection Period</t>
  </si>
  <si>
    <t>T+1</t>
  </si>
  <si>
    <t>T+2</t>
  </si>
  <si>
    <t>T+3</t>
  </si>
  <si>
    <t>T+4</t>
  </si>
  <si>
    <t>T+5</t>
  </si>
  <si>
    <t>Historical Period</t>
  </si>
  <si>
    <t>Sales</t>
  </si>
  <si>
    <t>% Growth</t>
  </si>
  <si>
    <t>% Margin</t>
  </si>
  <si>
    <t>EBIAT</t>
  </si>
  <si>
    <t>Plus: Depreciation &amp; Amort</t>
  </si>
  <si>
    <t>Less: Capital Expenditures</t>
  </si>
  <si>
    <t>Less: Change in NWC</t>
  </si>
  <si>
    <t>FCF</t>
  </si>
  <si>
    <t>EBIT</t>
  </si>
  <si>
    <t>Steady State</t>
  </si>
  <si>
    <t>T+6 and Beyond</t>
  </si>
  <si>
    <t>WACC</t>
  </si>
  <si>
    <t>Beta</t>
  </si>
  <si>
    <t>Market Risk Premium</t>
  </si>
  <si>
    <t>Risk-Free Rate</t>
  </si>
  <si>
    <t>Pre-Tax Cost of Debt</t>
  </si>
  <si>
    <t>Tax Rate</t>
  </si>
  <si>
    <t>Equity Weight</t>
  </si>
  <si>
    <t>Debt Weight</t>
  </si>
  <si>
    <t>Mid-Year Convention</t>
  </si>
  <si>
    <t>Enterprise Value</t>
  </si>
  <si>
    <t>Less: MV of Debt</t>
  </si>
  <si>
    <t>Plus: Cash</t>
  </si>
  <si>
    <t>Equity Value</t>
  </si>
  <si>
    <t># Diluted Shares</t>
  </si>
  <si>
    <t>Share Value</t>
  </si>
  <si>
    <t>EV/EBITDA</t>
  </si>
  <si>
    <t>VtIPO Valuation</t>
  </si>
  <si>
    <t>EBITDA</t>
  </si>
  <si>
    <t>Depreciation &amp; Amortization</t>
  </si>
  <si>
    <t>%  Margin</t>
  </si>
  <si>
    <t>Terminal Value-Perpetuiry</t>
  </si>
  <si>
    <t>L-T Growth rate</t>
  </si>
  <si>
    <t>Exit Multiple</t>
  </si>
  <si>
    <t>Discount Period</t>
  </si>
  <si>
    <t>PV-Perpetuiry</t>
  </si>
  <si>
    <t>PV-Multiple</t>
  </si>
  <si>
    <t>Perpetuity</t>
  </si>
  <si>
    <t>Multiple</t>
  </si>
  <si>
    <t>EBITDA (NTW)</t>
  </si>
  <si>
    <t>Today: Oct. 01, Year T</t>
  </si>
  <si>
    <t>WACC-Projection</t>
  </si>
  <si>
    <t>Range</t>
  </si>
  <si>
    <t>Terminal Value-EV/EBITDA Multiple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</si>
</sst>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%"/>
    <numFmt numFmtId="165" formatCode="0.0%"/>
    <numFmt numFmtId="166" formatCode="0.000%"/>
    <numFmt numFmtId="167" formatCode="0.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horizontal="right"/>
    </xf>
    <xf numFmtId="9" fontId="0" fillId="0" borderId="0" xfId="0" applyNumberFormat="1"/>
    <xf numFmtId="10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166" fontId="0" fillId="0" borderId="0" xfId="0" applyNumberFormat="1"/>
    <xf numFmtId="0" fontId="0" fillId="7" borderId="0" xfId="0" applyFill="1" applyAlignment="1">
      <alignment horizontal="center"/>
    </xf>
    <xf numFmtId="0" fontId="0" fillId="6" borderId="0" xfId="0" applyFill="1"/>
    <xf numFmtId="10" fontId="0" fillId="0" borderId="0" xfId="0" applyNumberFormat="1" applyAlignment="1">
      <alignment horizontal="right"/>
    </xf>
    <xf numFmtId="167" fontId="0" fillId="0" borderId="0" xfId="0" applyNumberFormat="1"/>
    <xf numFmtId="2" fontId="0" fillId="0" borderId="0" xfId="0" applyNumberFormat="1"/>
    <xf numFmtId="167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0" fontId="0" fillId="9" borderId="0" xfId="0" applyFill="1"/>
    <xf numFmtId="167" fontId="0" fillId="9" borderId="0" xfId="0" applyNumberFormat="1" applyFill="1"/>
    <xf numFmtId="165" fontId="0" fillId="9" borderId="0" xfId="0" applyNumberFormat="1" applyFill="1"/>
    <xf numFmtId="165" fontId="0" fillId="9" borderId="0" xfId="1" applyNumberFormat="1" applyFont="1" applyFill="1"/>
    <xf numFmtId="9" fontId="0" fillId="9" borderId="0" xfId="0" applyNumberFormat="1" applyFill="1"/>
    <xf numFmtId="0" fontId="0" fillId="9" borderId="0" xfId="0" applyFill="1" applyAlignment="1">
      <alignment horizontal="center"/>
    </xf>
    <xf numFmtId="166" fontId="0" fillId="9" borderId="0" xfId="0" applyNumberFormat="1" applyFill="1"/>
    <xf numFmtId="0" fontId="0" fillId="8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0" borderId="0" xfId="0" applyFont="1" applyAlignment="1">
      <alignment horizontal="center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zoomScale="138" zoomScaleNormal="138" workbookViewId="0">
      <selection activeCell="L30" sqref="L30"/>
    </sheetView>
  </sheetViews>
  <sheetFormatPr baseColWidth="10" defaultRowHeight="16" x14ac:dyDescent="0.2"/>
  <cols>
    <col min="1" max="1" width="24.33203125" customWidth="1"/>
    <col min="2" max="2" width="15.1640625" customWidth="1"/>
    <col min="3" max="3" width="13.33203125" customWidth="1"/>
    <col min="5" max="5" width="14.1640625" customWidth="1"/>
    <col min="6" max="6" width="14.83203125" customWidth="1"/>
    <col min="7" max="7" width="13.6640625" customWidth="1"/>
    <col min="8" max="8" width="14" customWidth="1"/>
    <col min="9" max="9" width="14.6640625" customWidth="1"/>
    <col min="10" max="10" width="12.83203125" customWidth="1"/>
    <col min="11" max="11" width="13.83203125" customWidth="1"/>
    <col min="12" max="12" width="15.6640625" customWidth="1"/>
  </cols>
  <sheetData>
    <row r="1" spans="1:12" x14ac:dyDescent="0.2">
      <c r="E1" s="29" t="s">
        <v>38</v>
      </c>
      <c r="F1" s="29"/>
      <c r="G1" s="29"/>
      <c r="H1" s="29"/>
    </row>
    <row r="2" spans="1:12" x14ac:dyDescent="0.2">
      <c r="A2" t="s">
        <v>30</v>
      </c>
    </row>
    <row r="3" spans="1:12" x14ac:dyDescent="0.2">
      <c r="A3" t="s">
        <v>51</v>
      </c>
      <c r="C3" s="28" t="s">
        <v>10</v>
      </c>
      <c r="D3" s="28"/>
      <c r="E3" s="28"/>
      <c r="G3" s="27" t="s">
        <v>4</v>
      </c>
      <c r="H3" s="27"/>
      <c r="I3" s="27"/>
      <c r="J3" s="27"/>
      <c r="K3" s="27"/>
      <c r="L3" s="9" t="s">
        <v>20</v>
      </c>
    </row>
    <row r="4" spans="1:12" x14ac:dyDescent="0.2">
      <c r="C4" s="1" t="s">
        <v>0</v>
      </c>
      <c r="D4" s="1" t="s">
        <v>1</v>
      </c>
      <c r="E4" s="1" t="s">
        <v>2</v>
      </c>
      <c r="F4" s="1" t="s">
        <v>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21</v>
      </c>
    </row>
    <row r="5" spans="1:12" x14ac:dyDescent="0.2">
      <c r="A5" t="s">
        <v>11</v>
      </c>
      <c r="C5" s="19">
        <v>2600</v>
      </c>
      <c r="D5" s="19">
        <v>2900</v>
      </c>
      <c r="E5" s="19">
        <v>3200</v>
      </c>
      <c r="F5" s="19">
        <v>3450</v>
      </c>
      <c r="G5" s="19">
        <v>3708.8</v>
      </c>
      <c r="H5" s="19">
        <v>3931.3</v>
      </c>
      <c r="I5" s="19">
        <v>4127.8</v>
      </c>
      <c r="J5" s="19">
        <v>4293</v>
      </c>
      <c r="K5" s="19">
        <v>4421.7</v>
      </c>
    </row>
    <row r="6" spans="1:12" x14ac:dyDescent="0.2">
      <c r="A6" s="4" t="s">
        <v>12</v>
      </c>
      <c r="D6" s="8">
        <f t="shared" ref="D6:E6" si="0">(D5/C5)-1</f>
        <v>0.11538461538461542</v>
      </c>
      <c r="E6" s="8">
        <f t="shared" si="0"/>
        <v>0.10344827586206895</v>
      </c>
      <c r="F6" s="8">
        <f>(F5/E5)-1</f>
        <v>7.8125E-2</v>
      </c>
      <c r="G6" s="8">
        <f t="shared" ref="G6:K6" si="1">(G5/F5)-1</f>
        <v>7.5014492753623152E-2</v>
      </c>
      <c r="H6" s="8">
        <f t="shared" si="1"/>
        <v>5.9992450388265839E-2</v>
      </c>
      <c r="I6" s="8">
        <f t="shared" si="1"/>
        <v>4.9983466029049017E-2</v>
      </c>
      <c r="J6" s="8">
        <f t="shared" si="1"/>
        <v>4.0021318862347943E-2</v>
      </c>
      <c r="K6" s="8">
        <f t="shared" si="1"/>
        <v>2.9979035639412954E-2</v>
      </c>
    </row>
    <row r="7" spans="1:12" x14ac:dyDescent="0.2">
      <c r="A7" t="s">
        <v>39</v>
      </c>
      <c r="C7" s="20">
        <v>491.4</v>
      </c>
      <c r="D7" s="20">
        <v>580</v>
      </c>
      <c r="E7" s="20">
        <v>672</v>
      </c>
      <c r="F7" s="20">
        <v>725</v>
      </c>
      <c r="G7" s="15">
        <f>G5*$F8</f>
        <v>779.38550724637685</v>
      </c>
      <c r="H7" s="15">
        <f t="shared" ref="H7:K7" si="2">H5*$F8</f>
        <v>826.14275362318836</v>
      </c>
      <c r="I7" s="15">
        <f t="shared" si="2"/>
        <v>867.43623188405797</v>
      </c>
      <c r="J7" s="15">
        <f t="shared" si="2"/>
        <v>902.15217391304338</v>
      </c>
      <c r="K7" s="15">
        <f t="shared" si="2"/>
        <v>929.19782608695641</v>
      </c>
      <c r="L7" s="15">
        <f>K7*(1+L18)</f>
        <v>947.78178260869561</v>
      </c>
    </row>
    <row r="8" spans="1:12" x14ac:dyDescent="0.2">
      <c r="A8" s="4" t="s">
        <v>13</v>
      </c>
      <c r="C8" s="8">
        <f>C7/C5</f>
        <v>0.189</v>
      </c>
      <c r="D8" s="8">
        <f t="shared" ref="D8:F8" si="3">D7/D5</f>
        <v>0.2</v>
      </c>
      <c r="E8" s="8">
        <f t="shared" si="3"/>
        <v>0.21</v>
      </c>
      <c r="F8" s="8">
        <f t="shared" si="3"/>
        <v>0.21014492753623187</v>
      </c>
      <c r="G8" s="22">
        <f>F8</f>
        <v>0.21014492753623187</v>
      </c>
      <c r="H8" s="22">
        <f>F8</f>
        <v>0.21014492753623187</v>
      </c>
      <c r="I8" s="22">
        <f>F8</f>
        <v>0.21014492753623187</v>
      </c>
      <c r="J8" s="22">
        <f>F8</f>
        <v>0.21014492753623187</v>
      </c>
      <c r="K8" s="22">
        <f>F8</f>
        <v>0.21014492753623187</v>
      </c>
    </row>
    <row r="9" spans="1:12" x14ac:dyDescent="0.2">
      <c r="A9" t="s">
        <v>40</v>
      </c>
      <c r="C9" s="19">
        <v>155</v>
      </c>
      <c r="D9" s="19">
        <v>165</v>
      </c>
      <c r="E9" s="19">
        <v>193</v>
      </c>
      <c r="F9" s="19">
        <v>207</v>
      </c>
      <c r="G9" s="19">
        <v>225.5</v>
      </c>
      <c r="H9" s="19">
        <v>235.9</v>
      </c>
      <c r="I9" s="19">
        <v>247.7</v>
      </c>
      <c r="J9" s="19">
        <v>257.60000000000002</v>
      </c>
      <c r="K9" s="19">
        <v>265.3</v>
      </c>
    </row>
    <row r="10" spans="1:12" x14ac:dyDescent="0.2">
      <c r="A10" t="s">
        <v>19</v>
      </c>
      <c r="C10" s="15">
        <f>C7-C9</f>
        <v>336.4</v>
      </c>
      <c r="D10" s="15">
        <f t="shared" ref="D10:K10" si="4">D7-D9</f>
        <v>415</v>
      </c>
      <c r="E10" s="15">
        <f t="shared" si="4"/>
        <v>479</v>
      </c>
      <c r="F10" s="15">
        <f t="shared" si="4"/>
        <v>518</v>
      </c>
      <c r="G10" s="15">
        <f t="shared" si="4"/>
        <v>553.88550724637685</v>
      </c>
      <c r="H10" s="15">
        <f t="shared" si="4"/>
        <v>590.24275362318838</v>
      </c>
      <c r="I10" s="15">
        <f t="shared" si="4"/>
        <v>619.73623188405804</v>
      </c>
      <c r="J10" s="15">
        <f t="shared" si="4"/>
        <v>644.55217391304336</v>
      </c>
      <c r="K10" s="15">
        <f t="shared" si="4"/>
        <v>663.89782608695646</v>
      </c>
    </row>
    <row r="11" spans="1:12" x14ac:dyDescent="0.2">
      <c r="A11" s="4" t="s">
        <v>41</v>
      </c>
      <c r="C11" s="8">
        <f>C10/C5</f>
        <v>0.12938461538461538</v>
      </c>
      <c r="D11" s="8">
        <f t="shared" ref="D11:K11" si="5">D10/D5</f>
        <v>0.14310344827586208</v>
      </c>
      <c r="E11" s="8">
        <f t="shared" si="5"/>
        <v>0.1496875</v>
      </c>
      <c r="F11" s="8">
        <f t="shared" si="5"/>
        <v>0.15014492753623188</v>
      </c>
      <c r="G11" s="8">
        <f t="shared" si="5"/>
        <v>0.14934359017643897</v>
      </c>
      <c r="H11" s="8">
        <f t="shared" si="5"/>
        <v>0.15013933142298688</v>
      </c>
      <c r="I11" s="8">
        <f t="shared" si="5"/>
        <v>0.1501371752226508</v>
      </c>
      <c r="J11" s="8">
        <f t="shared" si="5"/>
        <v>0.15014026878943473</v>
      </c>
      <c r="K11" s="8">
        <f t="shared" si="5"/>
        <v>0.15014537985095247</v>
      </c>
    </row>
    <row r="12" spans="1:12" x14ac:dyDescent="0.2">
      <c r="A12" t="s">
        <v>14</v>
      </c>
      <c r="C12" s="15">
        <f>C10*0.65</f>
        <v>218.66</v>
      </c>
      <c r="D12" s="15">
        <f>D10*0.65</f>
        <v>269.75</v>
      </c>
      <c r="E12" s="15">
        <f>E10*0.65</f>
        <v>311.35000000000002</v>
      </c>
      <c r="F12" s="15">
        <f>F10*0.65</f>
        <v>336.7</v>
      </c>
      <c r="G12" s="15">
        <f>G10*(1-B32)</f>
        <v>360.02557971014494</v>
      </c>
      <c r="H12" s="15">
        <f>H10*(1-B32)</f>
        <v>383.65778985507245</v>
      </c>
      <c r="I12" s="15">
        <f>I10*(1-B32)</f>
        <v>402.82855072463775</v>
      </c>
      <c r="J12" s="15">
        <f>J10*(1-B32)</f>
        <v>418.95891304347822</v>
      </c>
      <c r="K12" s="15">
        <f>K10*(1-B32)</f>
        <v>431.53358695652173</v>
      </c>
    </row>
    <row r="13" spans="1:12" x14ac:dyDescent="0.2">
      <c r="A13" t="s">
        <v>15</v>
      </c>
      <c r="C13">
        <f t="shared" ref="C13:K13" si="6">C9</f>
        <v>155</v>
      </c>
      <c r="D13">
        <f t="shared" si="6"/>
        <v>165</v>
      </c>
      <c r="E13">
        <f t="shared" si="6"/>
        <v>193</v>
      </c>
      <c r="F13">
        <f t="shared" si="6"/>
        <v>207</v>
      </c>
      <c r="G13">
        <f t="shared" si="6"/>
        <v>225.5</v>
      </c>
      <c r="H13">
        <f t="shared" si="6"/>
        <v>235.9</v>
      </c>
      <c r="I13">
        <f t="shared" si="6"/>
        <v>247.7</v>
      </c>
      <c r="J13">
        <f t="shared" si="6"/>
        <v>257.60000000000002</v>
      </c>
      <c r="K13">
        <f t="shared" si="6"/>
        <v>265.3</v>
      </c>
    </row>
    <row r="14" spans="1:12" x14ac:dyDescent="0.2">
      <c r="A14" t="s">
        <v>16</v>
      </c>
      <c r="C14" s="19">
        <v>114.4</v>
      </c>
      <c r="D14" s="19">
        <v>116</v>
      </c>
      <c r="E14" s="19">
        <v>144</v>
      </c>
      <c r="F14" s="19">
        <v>155.30000000000001</v>
      </c>
      <c r="G14" s="19">
        <v>166.9</v>
      </c>
      <c r="H14" s="19">
        <v>176.9</v>
      </c>
      <c r="I14" s="19">
        <v>185.8</v>
      </c>
      <c r="J14" s="19">
        <v>193.2</v>
      </c>
      <c r="K14" s="19">
        <v>199</v>
      </c>
    </row>
    <row r="15" spans="1:12" x14ac:dyDescent="0.2">
      <c r="A15" t="s">
        <v>17</v>
      </c>
      <c r="F15" s="19">
        <v>40</v>
      </c>
      <c r="G15" s="19">
        <v>47.6</v>
      </c>
      <c r="H15" s="19">
        <v>41</v>
      </c>
      <c r="I15" s="19">
        <v>36.200000000000003</v>
      </c>
      <c r="J15" s="19">
        <v>30.4</v>
      </c>
      <c r="K15" s="19">
        <v>23.7</v>
      </c>
    </row>
    <row r="16" spans="1:12" x14ac:dyDescent="0.2">
      <c r="A16" t="s">
        <v>18</v>
      </c>
      <c r="F16" s="15">
        <f>F12+F13-F14-F15</f>
        <v>348.40000000000003</v>
      </c>
      <c r="G16" s="15">
        <f>G12+G13-G14-G15</f>
        <v>371.02557971014494</v>
      </c>
      <c r="H16" s="15">
        <f t="shared" ref="H16:K16" si="7">H12+H13-H14-H15</f>
        <v>401.65778985507245</v>
      </c>
      <c r="I16" s="15">
        <f t="shared" si="7"/>
        <v>428.52855072463774</v>
      </c>
      <c r="J16" s="15">
        <f t="shared" si="7"/>
        <v>452.95891304347828</v>
      </c>
      <c r="K16" s="15">
        <f t="shared" si="7"/>
        <v>474.1335869565217</v>
      </c>
      <c r="L16" s="15">
        <f>K16*(1+L18)</f>
        <v>483.61625869565216</v>
      </c>
    </row>
    <row r="17" spans="1:13" x14ac:dyDescent="0.2">
      <c r="A17" t="s">
        <v>22</v>
      </c>
      <c r="F17" s="11">
        <f>B35</f>
        <v>6.0749999999999998E-2</v>
      </c>
      <c r="G17" s="11">
        <f>B35</f>
        <v>6.0749999999999998E-2</v>
      </c>
      <c r="H17" s="11">
        <f>G17</f>
        <v>6.0749999999999998E-2</v>
      </c>
      <c r="I17" s="11">
        <f>H17</f>
        <v>6.0749999999999998E-2</v>
      </c>
      <c r="J17" s="11">
        <f>I17</f>
        <v>6.0749999999999998E-2</v>
      </c>
      <c r="K17" s="11">
        <f>J17</f>
        <v>6.0749999999999998E-2</v>
      </c>
      <c r="L17" s="11">
        <f>C35</f>
        <v>7.5600000000000001E-2</v>
      </c>
    </row>
    <row r="18" spans="1:13" x14ac:dyDescent="0.2">
      <c r="A18" t="s">
        <v>43</v>
      </c>
      <c r="F18" s="7"/>
      <c r="G18" s="7"/>
      <c r="H18" s="7"/>
      <c r="I18" s="7"/>
      <c r="J18" s="7"/>
      <c r="K18" s="7"/>
      <c r="L18" s="21">
        <v>0.02</v>
      </c>
    </row>
    <row r="19" spans="1:13" x14ac:dyDescent="0.2">
      <c r="A19" t="s">
        <v>42</v>
      </c>
      <c r="L19" s="15">
        <f>L16/(L17-L18)</f>
        <v>8698.1341492023785</v>
      </c>
    </row>
    <row r="20" spans="1:13" x14ac:dyDescent="0.2">
      <c r="A20" t="s">
        <v>44</v>
      </c>
      <c r="L20" s="19">
        <v>8.8000000000000007</v>
      </c>
    </row>
    <row r="21" spans="1:13" x14ac:dyDescent="0.2">
      <c r="A21" t="s">
        <v>54</v>
      </c>
      <c r="L21" s="15">
        <f>L7*L20</f>
        <v>8340.4796869565216</v>
      </c>
    </row>
    <row r="22" spans="1:13" x14ac:dyDescent="0.2">
      <c r="A22" t="s">
        <v>45</v>
      </c>
      <c r="F22" s="19">
        <v>0.125</v>
      </c>
      <c r="G22" s="19">
        <v>0.75</v>
      </c>
      <c r="H22">
        <f>G22+1</f>
        <v>1.75</v>
      </c>
      <c r="I22">
        <f>H22+1</f>
        <v>2.75</v>
      </c>
      <c r="J22">
        <f>I22+1</f>
        <v>3.75</v>
      </c>
      <c r="K22">
        <f>J22+1</f>
        <v>4.75</v>
      </c>
      <c r="L22">
        <f>K22+0.5</f>
        <v>5.25</v>
      </c>
    </row>
    <row r="23" spans="1:13" x14ac:dyDescent="0.2">
      <c r="A23" t="s">
        <v>46</v>
      </c>
      <c r="F23" s="15">
        <f>(F16/4)/(1+F17)^F22</f>
        <v>86.460257563118446</v>
      </c>
      <c r="G23" s="15">
        <f>G16/(1+G17)^G22</f>
        <v>354.97197915812757</v>
      </c>
      <c r="H23" s="15">
        <f t="shared" ref="H23:K23" si="8">H16/(1+H17)^H22</f>
        <v>362.270836110814</v>
      </c>
      <c r="I23" s="15">
        <f t="shared" si="8"/>
        <v>364.37108085823849</v>
      </c>
      <c r="J23" s="15">
        <f t="shared" si="8"/>
        <v>363.08633830721334</v>
      </c>
      <c r="K23" s="15">
        <f t="shared" si="8"/>
        <v>358.2933759805274</v>
      </c>
      <c r="L23" s="15">
        <f>L19/(1+K17)^L22</f>
        <v>6382.0123327033771</v>
      </c>
    </row>
    <row r="24" spans="1:13" x14ac:dyDescent="0.2">
      <c r="A24" t="s">
        <v>47</v>
      </c>
      <c r="F24" s="15">
        <f>F23</f>
        <v>86.460257563118446</v>
      </c>
      <c r="G24" s="15">
        <f>G23</f>
        <v>354.97197915812757</v>
      </c>
      <c r="H24" s="15">
        <f t="shared" ref="H24:K24" si="9">H23</f>
        <v>362.270836110814</v>
      </c>
      <c r="I24" s="15">
        <f t="shared" si="9"/>
        <v>364.37108085823849</v>
      </c>
      <c r="J24" s="15">
        <f t="shared" si="9"/>
        <v>363.08633830721334</v>
      </c>
      <c r="K24" s="15">
        <f t="shared" si="9"/>
        <v>358.2933759805274</v>
      </c>
      <c r="L24" s="15">
        <f>L21/(1+K17)^L22</f>
        <v>6119.5933874737539</v>
      </c>
    </row>
    <row r="27" spans="1:13" x14ac:dyDescent="0.2">
      <c r="B27" s="3" t="s">
        <v>4</v>
      </c>
      <c r="C27" s="9" t="s">
        <v>20</v>
      </c>
      <c r="E27" s="12"/>
      <c r="F27" s="10" t="s">
        <v>48</v>
      </c>
      <c r="G27" s="13" t="s">
        <v>49</v>
      </c>
      <c r="I27" s="26" t="s">
        <v>36</v>
      </c>
      <c r="J27" s="26"/>
      <c r="K27" s="26"/>
      <c r="L27" s="26"/>
    </row>
    <row r="28" spans="1:13" x14ac:dyDescent="0.2">
      <c r="A28" t="s">
        <v>23</v>
      </c>
      <c r="B28" s="19">
        <v>1.2</v>
      </c>
      <c r="C28" s="19">
        <v>1</v>
      </c>
      <c r="D28" s="2"/>
      <c r="E28" t="s">
        <v>31</v>
      </c>
      <c r="F28" s="15">
        <f>SUM(F23:L23)</f>
        <v>8271.466200681416</v>
      </c>
      <c r="G28" s="15">
        <f>SUM(F24:L24)</f>
        <v>8009.0472554517928</v>
      </c>
      <c r="K28" t="s">
        <v>44</v>
      </c>
    </row>
    <row r="29" spans="1:13" x14ac:dyDescent="0.2">
      <c r="A29" t="s">
        <v>24</v>
      </c>
      <c r="B29" s="21">
        <v>4.4999999999999998E-2</v>
      </c>
      <c r="C29" s="23">
        <v>5.5E-2</v>
      </c>
      <c r="E29" t="s">
        <v>32</v>
      </c>
      <c r="F29" s="19">
        <v>1500</v>
      </c>
      <c r="G29" s="19">
        <f>F29</f>
        <v>1500</v>
      </c>
      <c r="I29" s="14" t="s">
        <v>52</v>
      </c>
      <c r="J29" s="24">
        <v>8.4</v>
      </c>
      <c r="K29" s="2">
        <v>8.8000000000000007</v>
      </c>
      <c r="L29" s="24">
        <v>9.1999999999999993</v>
      </c>
      <c r="M29" s="2"/>
    </row>
    <row r="30" spans="1:13" x14ac:dyDescent="0.2">
      <c r="A30" t="s">
        <v>25</v>
      </c>
      <c r="B30" s="21">
        <v>3.5000000000000003E-2</v>
      </c>
      <c r="C30" s="21">
        <v>4.4999999999999998E-2</v>
      </c>
      <c r="D30" s="2"/>
      <c r="E30" t="s">
        <v>33</v>
      </c>
      <c r="F30" s="19">
        <v>250</v>
      </c>
      <c r="G30" s="19">
        <f>F30</f>
        <v>250</v>
      </c>
      <c r="I30" s="25">
        <v>5.8749999999999997E-2</v>
      </c>
      <c r="J30" s="18">
        <f>(((F16*(1-G22))/(1+I30)^F22)+(G16/(1+I30)^G22)+(H16/(1+I30)^H22)+(I16/(1+I30)^I22)+(J16/(1+I30)^J22)+(K16/(1+I30)^K22)+((L7*J29)/(1+I30)^L22)-F29+F30)/F32</f>
        <v>81.85588904062044</v>
      </c>
      <c r="K30" s="18">
        <f>(((F16*(1-G22))/(1+I30)^F22)+(G16/(1+I30)^G22)+(H16/(1+I30)^H22)+(I16/(1+I30)^I22)+(J16/(1+I30)^J22)+(K16/(1+I30)^K22)+((L7*K29)/(1+I30)^L22)-F29+F30)/F32</f>
        <v>85.367552500552307</v>
      </c>
      <c r="L30" s="18">
        <f>(((F16*(1-G22))/(1+I30)^F22)+(G16/(1+I30)^G22)+(H16/(1+I30)^H22)+(I16/(1+I30)^I22)+(J16/(1+I30)^J22)+(K16/(1+I30)^K22)+((L7*L29)/(1+I30)^L22)-F29+F30)/F32</f>
        <v>88.87921596048416</v>
      </c>
      <c r="M30" s="2"/>
    </row>
    <row r="31" spans="1:13" x14ac:dyDescent="0.2">
      <c r="A31" t="s">
        <v>26</v>
      </c>
      <c r="B31" s="23">
        <v>0.05</v>
      </c>
      <c r="C31" s="23">
        <v>0.06</v>
      </c>
      <c r="D31" s="2"/>
      <c r="E31" t="s">
        <v>34</v>
      </c>
      <c r="F31" s="15">
        <f>F28-F29+F30</f>
        <v>7021.466200681416</v>
      </c>
      <c r="G31" s="15">
        <f>G28-G29+G30</f>
        <v>6759.0472554517928</v>
      </c>
      <c r="I31" s="11">
        <v>6.0749999999999998E-2</v>
      </c>
      <c r="J31" s="18">
        <f>(((F16*(1-G22))/(1+I31)^F22)+(G16/(1+I31)^G22)+(H16/(1+I31)^H22)+(I16/(1+I31)^I22)+(J16/(1+I31)^J22)+(K16/(1+I31)^K22)+((L7*J29)/(1+I31)^L22)-F29+F30)/F32</f>
        <v>81.01104899571915</v>
      </c>
      <c r="K31" s="18">
        <f>(((F16*(1-G22))/(1+I31)^F22)+(G16/(1+I31)^G22)+(H16/(1+I31)^H22)+(I16/(1+I31)^I22)+(J16/(1+I31)^J22)+(K16/(1+I31)^K22)+((L7*K29)/(1+I31)^L22)-F29+F30)/F32</f>
        <v>84.488090693147413</v>
      </c>
      <c r="L31" s="18">
        <f>(((F16*(1-G22))/(1+I31)^F22)+(G16/(1+I31)^G22)+(H16/(1+I31)^H22)+(I16/(1+I31)^I22)+(J16/(1+I31)^J22)+(K16/(1+I31)^K22)+((L7*L29)/(1+I31)^L22)-F29+F30)/F32</f>
        <v>87.965132390575675</v>
      </c>
    </row>
    <row r="32" spans="1:13" x14ac:dyDescent="0.2">
      <c r="A32" t="s">
        <v>27</v>
      </c>
      <c r="B32" s="23">
        <v>0.35</v>
      </c>
      <c r="C32" s="23">
        <v>0.35</v>
      </c>
      <c r="E32" t="s">
        <v>35</v>
      </c>
      <c r="F32" s="19">
        <v>80</v>
      </c>
      <c r="G32" s="19">
        <f>F32</f>
        <v>80</v>
      </c>
      <c r="I32" s="25">
        <v>6.275E-2</v>
      </c>
      <c r="J32" s="18">
        <f>(((F16*(1-G22))/(1+I32)^F22)+(G16/(1+I32)^G22)+(H16/(1+I32)^H22)+(I16/(1+I32)^I22)+(J16/(1+I32)^J22)+(K16/(1+I32)^K22)+((L7*J29)/(1+I32)^L22)-F29+F30)/F32</f>
        <v>80.175714363575736</v>
      </c>
      <c r="K32" s="18">
        <f>(((F16*(1-G22))/(1+I32)^F22)+(G16/(1+I32)^G22)+(H16/(1+I32)^H22)+(I16/(1+I32)^I22)+(J16/(1+I32)^J22)+(K16/(1+I32)^K22)+((L7*K29)/(1+I32)^L22)-F29+F30)/F32</f>
        <v>83.618539891850077</v>
      </c>
      <c r="L32" s="18">
        <f>(((F16*(1-G22))/(1+I32)^F22)+(G16/(1+I32)^G22)+(H16/(1+I32)^H22)+(I16/(1+I32)^I22)+(J16/(1+I32)^J22)+(K16/(1+I32)^K22)+((L7*L29)/(1+I32)^L22)-F29+F30)/F32</f>
        <v>87.061365420124417</v>
      </c>
    </row>
    <row r="33" spans="1:11" x14ac:dyDescent="0.2">
      <c r="A33" t="s">
        <v>28</v>
      </c>
      <c r="B33" s="23">
        <v>0.5</v>
      </c>
      <c r="C33" s="23">
        <v>0.6</v>
      </c>
      <c r="D33" s="2"/>
      <c r="E33" t="s">
        <v>36</v>
      </c>
      <c r="F33" s="16">
        <f>F31/F32</f>
        <v>87.7683275085177</v>
      </c>
      <c r="G33" s="16">
        <f>G31/G32</f>
        <v>84.488090693147413</v>
      </c>
    </row>
    <row r="34" spans="1:11" x14ac:dyDescent="0.2">
      <c r="A34" t="s">
        <v>29</v>
      </c>
      <c r="B34" s="5">
        <f>1-B33</f>
        <v>0.5</v>
      </c>
      <c r="C34" s="5">
        <f>1-C33</f>
        <v>0.4</v>
      </c>
      <c r="E34" t="s">
        <v>50</v>
      </c>
      <c r="F34" s="15">
        <f>F7*(1-G22)+G7*G22</f>
        <v>765.78913043478269</v>
      </c>
      <c r="G34" s="15">
        <f>F34</f>
        <v>765.78913043478269</v>
      </c>
      <c r="I34" t="s">
        <v>53</v>
      </c>
      <c r="J34" s="18">
        <f>J32</f>
        <v>80.175714363575736</v>
      </c>
      <c r="K34" s="18">
        <f>L30</f>
        <v>88.87921596048416</v>
      </c>
    </row>
    <row r="35" spans="1:11" x14ac:dyDescent="0.2">
      <c r="A35" t="s">
        <v>22</v>
      </c>
      <c r="B35" s="6">
        <f>B33*(B30+B28*B29)+B34*B31*(1-B32)</f>
        <v>6.0749999999999998E-2</v>
      </c>
      <c r="C35" s="6">
        <f>C33*(C30+C28*C29)+C34*C31*(1-C32)</f>
        <v>7.5600000000000001E-2</v>
      </c>
      <c r="E35" t="s">
        <v>37</v>
      </c>
      <c r="F35" s="17">
        <f>F28/F34</f>
        <v>10.801232182526837</v>
      </c>
      <c r="G35" s="15">
        <f>G28/G34</f>
        <v>10.458554368491225</v>
      </c>
    </row>
  </sheetData>
  <mergeCells count="4">
    <mergeCell ref="I27:L27"/>
    <mergeCell ref="G3:K3"/>
    <mergeCell ref="C3:E3"/>
    <mergeCell ref="E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2017-10-02T16:17:32Z</dcterms:created>
  <dcterms:modified xsi:type="dcterms:W3CDTF">2018-01-03T19:25:58Z</dcterms:modified>
</cp:coreProperties>
</file>